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kes_zi\EDM\01.Gas\Verfahrensspezifische-Parameter-Netzbetreiber\"/>
    </mc:Choice>
  </mc:AlternateContent>
  <bookViews>
    <workbookView xWindow="0" yWindow="0" windowWidth="28800" windowHeight="1314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7" l="1"/>
  <c r="M14" i="7"/>
  <c r="N14" i="7"/>
  <c r="O14" i="7"/>
  <c r="P14" i="7"/>
  <c r="M13" i="7"/>
  <c r="N13" i="7"/>
  <c r="O13" i="7"/>
  <c r="P13" i="7"/>
  <c r="J12" i="7"/>
  <c r="L14" i="7"/>
  <c r="K14" i="7"/>
  <c r="L13" i="7"/>
  <c r="K13" i="7"/>
  <c r="J14" i="7"/>
  <c r="J13" i="7"/>
  <c r="I14" i="7"/>
  <c r="I13" i="7"/>
  <c r="H14" i="7"/>
  <c r="H13" i="7"/>
  <c r="F14" i="7"/>
  <c r="F13" i="7"/>
  <c r="F12" i="7"/>
  <c r="F15" i="7"/>
  <c r="F16" i="7"/>
  <c r="F17" i="7"/>
  <c r="F18" i="7"/>
  <c r="F19" i="7"/>
  <c r="F20" i="7"/>
  <c r="F21" i="7"/>
  <c r="F22" i="7"/>
  <c r="F23" i="7"/>
  <c r="Q14" i="7" l="1"/>
  <c r="Q13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15" i="7" l="1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K15" i="7"/>
  <c r="N16" i="7"/>
  <c r="M17" i="7"/>
  <c r="L18" i="7"/>
  <c r="K19" i="7"/>
  <c r="J20" i="7"/>
  <c r="I21" i="7"/>
  <c r="H22" i="7"/>
  <c r="P22" i="7"/>
  <c r="O23" i="7"/>
  <c r="O12" i="7"/>
  <c r="P11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O11" i="7"/>
  <c r="J11" i="7"/>
  <c r="O15" i="7"/>
  <c r="J16" i="7"/>
  <c r="I17" i="7"/>
  <c r="H18" i="7"/>
  <c r="P18" i="7"/>
  <c r="O19" i="7"/>
  <c r="N20" i="7"/>
  <c r="M21" i="7"/>
  <c r="L22" i="7"/>
  <c r="K23" i="7"/>
  <c r="K12" i="7"/>
  <c r="K11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M8" i="4"/>
  <c r="M7" i="4"/>
  <c r="C5" i="1"/>
  <c r="D6" i="15"/>
  <c r="D6" i="7"/>
  <c r="Q18" i="7" l="1"/>
  <c r="Q15" i="7"/>
  <c r="Q11" i="7"/>
  <c r="Q20" i="7"/>
  <c r="Q12" i="7"/>
  <c r="Q16" i="7"/>
  <c r="Q21" i="7"/>
  <c r="Q22" i="7"/>
  <c r="Q19" i="7"/>
  <c r="Q17" i="7"/>
  <c r="Q23" i="7"/>
  <c r="C20" i="7"/>
  <c r="C14" i="7"/>
  <c r="C12" i="7"/>
  <c r="C19" i="7"/>
  <c r="C16" i="7"/>
  <c r="C15" i="7"/>
  <c r="C17" i="7"/>
  <c r="C22" i="7"/>
  <c r="C13" i="7"/>
  <c r="C23" i="7"/>
  <c r="C18" i="7"/>
  <c r="C21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<sst xmlns="http://schemas.openxmlformats.org/spreadsheetml/2006/main" count="1376" uniqueCount="658">
  <si>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</si>
  <si>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</si>
  <si>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</si>
  <si>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</si>
  <si>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</si>
  <si>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</si>
  <si>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</si>
  <si>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</si>
  <si>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</si>
  <si>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</si>
  <si>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</si>
  <si>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</si>
  <si>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</si>
  <si>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</si>
  <si>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</si>
  <si>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</si>
  <si>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</si>
  <si>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</si>
  <si>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</si>
  <si>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</si>
  <si>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</si>
  <si>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</si>
  <si>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</si>
  <si>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</si>
  <si>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</si>
  <si>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</si>
  <si>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</si>
  <si>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</si>
  <si>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</si>
  <si>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</si>
  <si>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</si>
  <si>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</si>
  <si>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</si>
  <si>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</si>
  <si>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</si>
  <si>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</si>
  <si>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</si>
  <si>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</si>
  <si>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</si>
  <si>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</si>
  <si>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</si>
  <si>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</si>
  <si>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</si>
  <si>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</si>
  <si>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</si>
  <si>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</si>
  <si>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</si>
  <si>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</si>
  <si>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</si>
  <si>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</si>
  <si>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</si>
  <si>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</si>
  <si>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</si>
  <si>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</si>
  <si>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</si>
  <si>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</si>
  <si>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</si>
  <si>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</si>
  <si>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</si>
  <si>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</si>
  <si>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</si>
  <si>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</si>
  <si>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</si>
  <si>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</si>
  <si>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</si>
  <si>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</si>
  <si>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</si>
  <si>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</si>
  <si>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</si>
  <si>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</si>
  <si>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</si>
  <si>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</si>
  <si>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</si>
  <si>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</si>
  <si>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</si>
  <si>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</si>
  <si>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</si>
  <si>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</si>
  <si>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</si>
  <si>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</si>
  <si>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</si>
  <si>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</si>
  <si>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</si>
  <si>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</si>
  <si>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</si>
  <si>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</si>
  <si>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</si>
  <si>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</si>
  <si>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</si>
  <si>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</si>
  <si>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</si>
  <si>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</si>
  <si>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</si>
  <si>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</si>
  <si>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</si>
  <si>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</si>
  <si>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</si>
  <si>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</si>
  <si>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</si>
  <si>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</si>
  <si>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</si>
  <si>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</si>
  <si>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</si>
  <si>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</si>
  <si>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</si>
  <si>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</si>
  <si>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</si>
  <si>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</si>
  <si>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</si>
  <si>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</si>
  <si>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</si>
  <si>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</si>
  <si>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</si>
  <si>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</si>
  <si>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</si>
  <si>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</si>
  <si>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</si>
  <si>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</si>
  <si>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</si>
  <si>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</si>
  <si>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</si>
  <si>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</si>
  <si>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</si>
  <si>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</si>
  <si>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</si>
  <si>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</si>
  <si>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</si>
  <si>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</si>
  <si>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</si>
  <si>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</si>
  <si>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</si>
  <si>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</si>
  <si>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</si>
  <si>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</si>
  <si>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</si>
  <si>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</si>
  <si>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</si>
  <si>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</si>
  <si>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</si>
  <si>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</si>
  <si>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</si>
  <si>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</si>
  <si>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</si>
  <si>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</si>
  <si>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</si>
  <si>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</si>
  <si>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</si>
  <si>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</si>
  <si>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</si>
  <si>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</si>
  <si>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</si>
  <si>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</si>
  <si>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</si>
  <si>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</si>
  <si>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</si>
  <si>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</si>
  <si>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</si>
  <si>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</si>
  <si>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</si>
  <si>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</si>
  <si>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</si>
  <si>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</si>
  <si>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</si>
  <si>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</si>
  <si>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</si>
  <si>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</si>
  <si>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</si>
  <si>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</si>
  <si>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</si>
  <si>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</si>
  <si>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</si>
  <si>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</si>
  <si>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</si>
  <si>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</si>
  <si>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</si>
  <si>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</si>
  <si>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</si>
  <si>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</si>
  <si>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</si>
  <si>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</si>
  <si>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</si>
  <si>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</si>
  <si>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</si>
  <si>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</si>
  <si>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</si>
  <si>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</si>
  <si>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</si>
  <si>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</si>
  <si>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</si>
  <si>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</si>
  <si>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</si>
  <si>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</si>
  <si>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</si>
  <si>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</si>
  <si>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</si>
  <si>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</si>
  <si>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</si>
  <si>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</si>
  <si>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</si>
  <si>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</si>
  <si>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</si>
  <si>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</si>
  <si>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</si>
  <si>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</si>
  <si>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</si>
  <si>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</si>
  <si>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</si>
  <si>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</si>
  <si>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</si>
  <si>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</si>
  <si>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</si>
  <si>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</si>
  <si>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</si>
  <si>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</si>
  <si>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</si>
  <si>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</si>
  <si>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</si>
  <si>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</si>
  <si>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</si>
  <si>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</si>
  <si>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</si>
  <si>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</si>
  <si>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</si>
  <si>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</si>
  <si>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</si>
  <si>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</si>
  <si>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</si>
  <si>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</si>
  <si>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</si>
  <si>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</si>
  <si>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</si>
  <si>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</si>
  <si>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</si>
  <si>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</si>
  <si>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</si>
  <si>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</si>
  <si>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</si>
  <si>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</si>
  <si>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</si>
  <si>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</si>
  <si>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</si>
  <si>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</si>
  <si>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</si>
  <si>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</si>
  <si>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</si>
  <si>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</si>
  <si>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</si>
  <si>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</si>
  <si>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</si>
  <si>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</si>
  <si>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</si>
  <si>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</si>
  <si>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</si>
  <si>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</si>
  <si>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</si>
  <si>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</si>
  <si>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</si>
  <si>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</si>
  <si>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</si>
  <si>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</si>
  <si>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</si>
  <si>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</si>
  <si>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</si>
  <si>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</si>
  <si>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</si>
  <si>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</si>
  <si>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</si>
  <si>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</si>
  <si>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</si>
  <si>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</si>
  <si>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</si>
  <si>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</si>
  <si>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</si>
  <si>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</si>
  <si>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</si>
  <si>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</si>
  <si>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</si>
  <si>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</si>
  <si>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</si>
  <si>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</si>
  <si>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</si>
  <si>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</si>
  <si>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</si>
  <si>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</si>
  <si>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</si>
  <si>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</si>
  <si>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</si>
  <si>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</si>
  <si>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</si>
  <si>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</si>
  <si>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</si>
  <si>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</si>
  <si>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</si>
  <si>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</si>
  <si>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</si>
  <si>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</si>
  <si>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</si>
  <si>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</si>
  <si>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</si>
  <si>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</si>
  <si>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</si>
  <si>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</si>
  <si>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</si>
  <si>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</si>
  <si>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</si>
  <si>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</si>
  <si>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</si>
  <si>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</si>
  <si>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</si>
  <si>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</si>
  <si>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</si>
  <si>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</si>
  <si>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</si>
  <si>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</si>
  <si>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</si>
  <si>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</si>
  <si>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</si>
  <si>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</si>
  <si>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</si>
  <si>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</si>
  <si>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</si>
  <si>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</si>
  <si>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</si>
  <si>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</si>
  <si>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</si>
  <si>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</si>
  <si>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</si>
  <si>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</si>
  <si>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</si>
  <si>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</si>
  <si>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</si>
  <si>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</si>
  <si>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</si>
  <si>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</si>
  <si>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</si>
  <si>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</si>
  <si>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</si>
  <si>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</si>
  <si>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</si>
  <si>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</si>
  <si>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</si>
  <si>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</si>
  <si>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</si>
  <si>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</si>
  <si>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</si>
  <si>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</si>
  <si>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</si>
  <si>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</si>
  <si>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</si>
  <si>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</si>
  <si>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</si>
  <si>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</si>
  <si>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</si>
  <si>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</si>
  <si>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</si>
  <si>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</si>
  <si>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</si>
  <si>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</si>
  <si>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</si>
  <si>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</si>
  <si>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</si>
  <si>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</si>
  <si>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</si>
  <si>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</si>
  <si>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</si>
  <si>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</si>
  <si>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</si>
  <si>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</si>
  <si>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</si>
  <si>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</si>
  <si>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</si>
  <si>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</si>
  <si>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</si>
  <si>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</si>
  <si>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</si>
  <si>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</si>
  <si>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</si>
  <si>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</si>
  <si>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</si>
  <si>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</si>
  <si>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</si>
  <si>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</si>
  <si>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</si>
  <si>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</si>
  <si>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</si>
  <si>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</si>
  <si>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</si>
  <si>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</si>
  <si>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</si>
  <si>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</si>
  <si>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</si>
  <si>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</si>
  <si>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</si>
  <si>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</si>
  <si>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</si>
  <si>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</si>
  <si>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</si>
  <si>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</si>
  <si>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</si>
  <si>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</si>
  <si>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</si>
  <si>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</si>
  <si>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</si>
  <si>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</si>
  <si>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</si>
  <si>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</si>
  <si>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</si>
  <si>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</si>
  <si>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</si>
  <si>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</si>
  <si>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</si>
  <si>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</si>
  <si>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</si>
  <si>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</si>
  <si>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</si>
  <si>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</si>
  <si>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</si>
  <si>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</si>
  <si>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</si>
  <si>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NB</t>
  </si>
  <si>
    <t>NB-individuell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</si>
  <si>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</si>
  <si>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</si>
  <si>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</si>
  <si>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</si>
  <si>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</si>
  <si>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</si>
  <si>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</si>
  <si>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</si>
  <si>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</si>
  <si>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</si>
  <si>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</si>
  <si>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</si>
  <si>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</si>
  <si>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</si>
  <si>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</si>
  <si>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</si>
  <si>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</si>
  <si>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</si>
  <si>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</si>
  <si>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</si>
  <si>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</si>
  <si>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</si>
  <si>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</si>
  <si>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</si>
  <si>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</si>
  <si>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</si>
  <si>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</si>
  <si>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</si>
  <si>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</si>
  <si>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</si>
  <si>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</si>
  <si>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</si>
  <si>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</si>
  <si>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</si>
  <si>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</si>
  <si>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</si>
  <si>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</si>
  <si>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</si>
  <si>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</si>
  <si>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</si>
  <si>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</si>
  <si>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</si>
  <si>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</si>
  <si>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</si>
  <si>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</si>
  <si>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</si>
  <si>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</si>
  <si>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</si>
  <si>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</si>
  <si>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</si>
  <si>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</si>
  <si>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</si>
  <si>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</si>
  <si>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</si>
  <si>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</si>
  <si>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</si>
  <si>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</si>
  <si>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</si>
  <si>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</si>
  <si>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</si>
  <si>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</si>
  <si>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</si>
  <si>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</si>
  <si>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</si>
  <si>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</si>
  <si>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</si>
  <si>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</si>
  <si>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</si>
  <si>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</si>
  <si>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</si>
  <si>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</si>
  <si>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</si>
  <si>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</si>
  <si>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</si>
  <si>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</si>
  <si>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</si>
  <si>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</si>
  <si>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</si>
  <si>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</si>
  <si>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</si>
  <si>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</si>
  <si>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</si>
  <si>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</si>
  <si>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</si>
  <si>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</si>
  <si>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</si>
  <si>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</si>
  <si>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</si>
  <si>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</si>
  <si>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</si>
  <si>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</si>
  <si>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</si>
  <si>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</si>
  <si>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</si>
  <si>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</si>
  <si>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</si>
  <si>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</si>
  <si>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</si>
  <si>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</si>
  <si>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</si>
  <si>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</si>
  <si>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</si>
  <si>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</si>
  <si>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</si>
  <si>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</si>
  <si>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</si>
  <si>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</si>
  <si>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</si>
  <si>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</si>
  <si>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</si>
  <si>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</si>
  <si>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</si>
  <si>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</si>
  <si>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</si>
  <si>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</si>
  <si>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</si>
  <si>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</si>
  <si>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</si>
  <si>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</si>
  <si>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</si>
  <si>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</si>
  <si>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</si>
  <si>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</si>
  <si>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</si>
  <si>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</si>
  <si>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</si>
  <si>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</si>
  <si>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</si>
  <si>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</si>
  <si>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</si>
  <si>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</si>
  <si>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</si>
  <si>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</si>
  <si>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</si>
  <si>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</si>
  <si>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</si>
  <si>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</si>
  <si>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</si>
  <si>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</si>
  <si>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</si>
  <si>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</si>
  <si>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</si>
  <si>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</si>
  <si>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</si>
  <si>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</si>
  <si>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</si>
  <si>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</si>
  <si>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</si>
  <si>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</si>
  <si>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</si>
  <si>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</si>
  <si>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</si>
  <si>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</si>
  <si>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</si>
  <si>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</si>
  <si>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</si>
  <si>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</si>
  <si>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</si>
  <si>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</si>
  <si>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</si>
  <si>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</si>
  <si>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</si>
  <si>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</si>
  <si>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</si>
  <si>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</si>
  <si>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</si>
  <si>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</si>
  <si>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</si>
  <si>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</si>
  <si>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</si>
  <si>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</si>
  <si>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</si>
  <si>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</si>
  <si>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</si>
  <si>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</si>
  <si>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</si>
  <si>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</si>
  <si>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</si>
  <si>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</si>
  <si>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</si>
  <si>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</si>
  <si>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</si>
  <si>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</si>
  <si>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</si>
  <si>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</si>
  <si>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</si>
  <si>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</si>
  <si>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</si>
  <si>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</si>
  <si>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</si>
  <si>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</si>
  <si>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</si>
  <si>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</si>
  <si>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</si>
  <si>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</si>
  <si>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</si>
  <si>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</si>
  <si>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</si>
  <si>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</si>
  <si>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</si>
  <si>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</si>
  <si>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</si>
  <si>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</si>
  <si>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</si>
  <si>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</si>
  <si>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</si>
  <si>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</si>
  <si>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</si>
  <si>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</si>
  <si>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</si>
  <si>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</si>
  <si>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</si>
  <si>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</si>
  <si>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</si>
  <si>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</si>
  <si>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</si>
  <si>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</si>
  <si>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Schneeberg GmbH</t>
  </si>
  <si>
    <t>Joseph-Haydn-Straße 5</t>
  </si>
  <si>
    <t>Schneeberg</t>
  </si>
  <si>
    <t>03772/3502-0</t>
  </si>
  <si>
    <t>9870032000000</t>
  </si>
  <si>
    <t>DWD-Awst. Aue (O863)</t>
  </si>
  <si>
    <t>THE0NKH700320000</t>
  </si>
  <si>
    <t>Aue</t>
  </si>
  <si>
    <t>O863</t>
  </si>
  <si>
    <t>DE_GMK04</t>
  </si>
  <si>
    <t>DE_GHA04</t>
  </si>
  <si>
    <t>DE_GKO04</t>
  </si>
  <si>
    <t>DE_GBD04</t>
  </si>
  <si>
    <t>DE_GGA04</t>
  </si>
  <si>
    <t>DE_GBH04</t>
  </si>
  <si>
    <t>DE_GBA04</t>
  </si>
  <si>
    <t>DE_GPD04</t>
  </si>
  <si>
    <t>DE_GHD04</t>
  </si>
  <si>
    <t>Energiedatenmanagement</t>
  </si>
  <si>
    <t>edm@kes-strom.de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</si>
</sst>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7" fillId="33" borderId="17" xfId="152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kes-strom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B30" sqref="B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444</v>
      </c>
    </row>
    <row r="3" spans="2:7"/>
    <row r="4" spans="2:7">
      <c r="B4" s="8" t="s">
        <v>439</v>
      </c>
    </row>
    <row r="5" spans="2:7">
      <c r="B5" s="8" t="s">
        <v>440</v>
      </c>
    </row>
    <row r="6" spans="2:7"/>
    <row r="7" spans="2:7">
      <c r="B7" t="s">
        <v>336</v>
      </c>
    </row>
    <row r="8" spans="2:7" s="8" customFormat="1">
      <c r="B8" s="8" t="s">
        <v>441</v>
      </c>
    </row>
    <row r="9" spans="2:7" s="8" customFormat="1"/>
    <row r="10" spans="2:7" s="8" customFormat="1">
      <c r="B10" s="14" t="s">
        <v>426</v>
      </c>
    </row>
    <row r="11" spans="2:7" s="8" customFormat="1">
      <c r="B11" s="8" t="s">
        <v>478</v>
      </c>
    </row>
    <row r="12" spans="2:7" s="8" customFormat="1">
      <c r="B12" s="8" t="s">
        <v>479</v>
      </c>
    </row>
    <row r="13" spans="2:7" s="8" customFormat="1">
      <c r="B13" s="8" t="s">
        <v>487</v>
      </c>
    </row>
    <row r="14" spans="2:7" s="8" customFormat="1"/>
    <row r="15" spans="2:7">
      <c r="B15" s="20" t="s">
        <v>443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442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8" t="s">
        <v>633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9.710937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482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483</v>
      </c>
      <c r="D6" s="27">
        <v>45108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638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464</v>
      </c>
      <c r="D11" s="352" t="s">
        <v>642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639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8289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640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656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51" t="s">
        <v>657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641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465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438</v>
      </c>
      <c r="D27" s="42" t="s">
        <v>394</v>
      </c>
      <c r="E27" s="39"/>
      <c r="F27" s="11"/>
    </row>
    <row r="28" spans="1:15">
      <c r="B28" s="15"/>
      <c r="C28" s="65" t="s">
        <v>481</v>
      </c>
      <c r="D28" s="47" t="str">
        <f>IF(D27&lt;&gt;C28,VLOOKUP(D27,$C$29:$D$48,2,FALSE),C28)</f>
        <v>Schneeberg</v>
      </c>
      <c r="E28" s="38"/>
      <c r="F28" s="11"/>
      <c r="G28" s="2"/>
    </row>
    <row r="29" spans="1:15">
      <c r="B29" s="15"/>
      <c r="C29" s="22" t="s">
        <v>394</v>
      </c>
      <c r="D29" s="44" t="s">
        <v>640</v>
      </c>
      <c r="E29" s="40"/>
      <c r="F29" s="11"/>
      <c r="G29" s="2"/>
    </row>
    <row r="30" spans="1:15">
      <c r="B30" s="15"/>
      <c r="C30" s="22"/>
      <c r="D30" s="44"/>
      <c r="E30" s="40"/>
      <c r="F30" s="46"/>
      <c r="G30" s="2"/>
    </row>
    <row r="31" spans="1:15">
      <c r="B31" s="15"/>
      <c r="C31" s="22"/>
      <c r="D31" s="45"/>
      <c r="E31" s="40"/>
      <c r="F31" s="46"/>
      <c r="G31" s="2"/>
    </row>
    <row r="32" spans="1:15">
      <c r="B32" s="15"/>
      <c r="C32" s="22"/>
      <c r="D32" s="45"/>
      <c r="E32" s="40"/>
      <c r="F32" s="46"/>
      <c r="G32" s="2"/>
    </row>
    <row r="33" spans="2:7">
      <c r="B33" s="15"/>
      <c r="C33" s="22"/>
      <c r="D33" s="44"/>
      <c r="E33" s="40"/>
      <c r="F33" s="46"/>
      <c r="G33" s="2"/>
    </row>
    <row r="34" spans="2:7">
      <c r="B34" s="15"/>
      <c r="C34" s="22"/>
      <c r="D34" s="45"/>
      <c r="E34" s="40"/>
      <c r="F34" s="46"/>
      <c r="G34" s="2"/>
    </row>
    <row r="35" spans="2:7">
      <c r="B35" s="15"/>
      <c r="C35" s="22"/>
      <c r="D35" s="45"/>
      <c r="E35" s="40"/>
      <c r="F35" s="46"/>
      <c r="G35" s="2"/>
    </row>
    <row r="36" spans="2:7">
      <c r="B36" s="15"/>
      <c r="C36" s="22"/>
      <c r="D36" s="45"/>
      <c r="E36" s="40"/>
      <c r="F36" s="46"/>
      <c r="G36" s="2"/>
    </row>
    <row r="37" spans="2:7">
      <c r="B37" s="15"/>
      <c r="C37" s="22"/>
      <c r="D37" s="45"/>
      <c r="E37" s="40"/>
      <c r="F37" s="46"/>
      <c r="G37" s="2"/>
    </row>
    <row r="38" spans="2:7">
      <c r="B38" s="15"/>
      <c r="C38" s="22"/>
      <c r="D38" s="45"/>
      <c r="E38" s="40"/>
      <c r="F38" s="46"/>
      <c r="G38" s="2"/>
    </row>
    <row r="39" spans="2:7">
      <c r="B39" s="15"/>
      <c r="C39" s="22"/>
      <c r="D39" s="45"/>
      <c r="E39" s="40"/>
      <c r="F39" s="46"/>
      <c r="G39" s="2"/>
    </row>
    <row r="40" spans="2:7">
      <c r="B40" s="15"/>
      <c r="C40" s="22"/>
      <c r="D40" s="45"/>
      <c r="E40" s="40"/>
      <c r="F40" s="46"/>
      <c r="G40" s="2"/>
    </row>
    <row r="41" spans="2:7">
      <c r="B41" s="15"/>
      <c r="C41" s="22"/>
      <c r="D41" s="45"/>
      <c r="E41" s="40"/>
      <c r="F41" s="46"/>
      <c r="G41" s="2"/>
    </row>
    <row r="42" spans="2:7">
      <c r="B42" s="15"/>
      <c r="C42" s="22"/>
      <c r="D42" s="45"/>
      <c r="E42" s="40"/>
      <c r="F42" s="46"/>
      <c r="G42" s="2"/>
    </row>
    <row r="43" spans="2:7">
      <c r="B43" s="15"/>
      <c r="C43" s="22"/>
      <c r="D43" s="45"/>
      <c r="E43" s="40"/>
      <c r="F43" s="46"/>
      <c r="G43" s="2"/>
    </row>
    <row r="44" spans="2:7">
      <c r="B44" s="15"/>
      <c r="C44" s="22"/>
      <c r="D44" s="45"/>
      <c r="E44" s="40"/>
      <c r="F44" s="46"/>
      <c r="G44" s="2"/>
    </row>
    <row r="45" spans="2:7">
      <c r="B45" s="15"/>
      <c r="C45" s="22"/>
      <c r="D45" s="45"/>
      <c r="E45" s="40"/>
      <c r="F45" s="46"/>
      <c r="G45" s="2"/>
    </row>
    <row r="46" spans="2:7">
      <c r="B46" s="15"/>
      <c r="C46" s="22"/>
      <c r="D46" s="45"/>
      <c r="E46" s="40"/>
      <c r="F46" s="46"/>
    </row>
    <row r="47" spans="2:7">
      <c r="B47" s="15"/>
      <c r="C47" s="22"/>
      <c r="D47" s="45"/>
      <c r="E47" s="40"/>
      <c r="F47" s="46"/>
    </row>
    <row r="48" spans="2:7">
      <c r="B48" s="15"/>
      <c r="C48" s="22"/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4" zoomScale="80" zoomScaleNormal="80" workbookViewId="0">
      <selection activeCell="D28" sqref="D2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424</v>
      </c>
      <c r="D5" s="57" t="str">
        <f>Netzbetreiber!$D$9</f>
        <v>Stadtwerke Schneeberg GmbH</v>
      </c>
      <c r="H5" s="67"/>
      <c r="I5" s="67"/>
      <c r="J5" s="67"/>
      <c r="K5" s="67"/>
    </row>
    <row r="6" spans="2:15" ht="15" customHeight="1">
      <c r="B6" s="22"/>
      <c r="C6" s="61" t="s">
        <v>423</v>
      </c>
      <c r="D6" s="57" t="str">
        <f>Netzbetreiber!D28</f>
        <v>Schneeberg</v>
      </c>
      <c r="E6" s="15"/>
      <c r="H6" s="67"/>
      <c r="I6" s="67"/>
      <c r="J6" s="67"/>
      <c r="K6" s="67"/>
    </row>
    <row r="7" spans="2:15" ht="15" customHeight="1">
      <c r="B7" s="22"/>
      <c r="C7" s="59" t="s">
        <v>467</v>
      </c>
      <c r="D7" s="60" t="str">
        <f>Netzbetreiber!$D$11</f>
        <v>9870032000000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45108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596</v>
      </c>
      <c r="D11" s="33" t="s">
        <v>597</v>
      </c>
      <c r="E11" s="15"/>
      <c r="H11" s="276" t="s">
        <v>597</v>
      </c>
      <c r="I11" s="276" t="s">
        <v>598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634</v>
      </c>
      <c r="D13" s="42" t="s">
        <v>644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367</v>
      </c>
      <c r="D15" s="48" t="s">
        <v>136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5" t="s">
        <v>556</v>
      </c>
      <c r="I16" s="275" t="s">
        <v>468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5" t="s">
        <v>469</v>
      </c>
      <c r="I17" s="275" t="s">
        <v>470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594</v>
      </c>
      <c r="D19" s="48" t="s">
        <v>590</v>
      </c>
      <c r="E19" s="15"/>
      <c r="H19" s="272" t="s">
        <v>590</v>
      </c>
      <c r="I19" s="272" t="s">
        <v>591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592</v>
      </c>
      <c r="E20" s="15"/>
      <c r="H20" s="272" t="s">
        <v>593</v>
      </c>
      <c r="I20" s="8" t="s">
        <v>589</v>
      </c>
      <c r="J20" s="8"/>
      <c r="K20" s="8"/>
      <c r="L20" s="273"/>
    </row>
    <row r="21" spans="2:16" ht="15" customHeight="1">
      <c r="B21" s="22"/>
      <c r="C21" s="24" t="s">
        <v>595</v>
      </c>
      <c r="D21" s="24" t="str">
        <f>IF(D19=$H$19,L21,IF(D20=$H$21,M21,N21))</f>
        <v>=&gt;  Q(D) = KW  x  h(T, SLP-Typ)  x  F(WT)</v>
      </c>
      <c r="E21" s="15"/>
      <c r="H21" s="272" t="s">
        <v>592</v>
      </c>
      <c r="I21" s="272" t="s">
        <v>599</v>
      </c>
      <c r="J21" s="8"/>
      <c r="K21" s="8"/>
      <c r="L21" s="275" t="s">
        <v>600</v>
      </c>
      <c r="M21" s="275" t="s">
        <v>602</v>
      </c>
      <c r="N21" s="275" t="s">
        <v>601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559</v>
      </c>
      <c r="D23" s="42" t="s">
        <v>137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603</v>
      </c>
      <c r="D24" s="42" t="s">
        <v>604</v>
      </c>
      <c r="E24" s="15"/>
      <c r="H24" s="308" t="s">
        <v>604</v>
      </c>
      <c r="I24" s="274" t="s">
        <v>605</v>
      </c>
      <c r="J24" s="274" t="s">
        <v>606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607</v>
      </c>
      <c r="I25" s="275" t="s">
        <v>608</v>
      </c>
      <c r="J25" s="275" t="s">
        <v>609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610</v>
      </c>
      <c r="I26" s="275" t="s">
        <v>611</v>
      </c>
      <c r="J26" s="275" t="s">
        <v>612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369</v>
      </c>
      <c r="C28" s="6" t="s">
        <v>558</v>
      </c>
      <c r="D28" s="42" t="s">
        <v>135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5" t="s">
        <v>613</v>
      </c>
      <c r="I29" s="275" t="s">
        <v>614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5" t="s">
        <v>615</v>
      </c>
      <c r="I30" s="272" t="s">
        <v>610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473</v>
      </c>
      <c r="C32" s="24" t="s">
        <v>475</v>
      </c>
      <c r="D32" s="268">
        <v>12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530</v>
      </c>
      <c r="C34" s="5" t="s">
        <v>364</v>
      </c>
      <c r="D34" s="34">
        <v>1500000</v>
      </c>
      <c r="E34" s="15" t="s">
        <v>488</v>
      </c>
      <c r="I34" s="272"/>
      <c r="J34" s="272"/>
      <c r="K34" s="272"/>
      <c r="L34" s="272"/>
      <c r="M34" s="273"/>
    </row>
    <row r="35" spans="2:39" customFormat="1" ht="15" customHeight="1">
      <c r="C35" s="8" t="s">
        <v>471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531</v>
      </c>
      <c r="C37" s="5" t="s">
        <v>365</v>
      </c>
      <c r="D37" s="36">
        <v>500</v>
      </c>
      <c r="E37" s="15" t="s">
        <v>522</v>
      </c>
      <c r="H37" s="67"/>
      <c r="I37" s="67"/>
      <c r="J37" s="67"/>
      <c r="K37" s="67"/>
    </row>
    <row r="38" spans="2:39" ht="15" customHeight="1">
      <c r="C38" s="8" t="s">
        <v>472</v>
      </c>
    </row>
    <row r="39" spans="2:39" ht="15" customHeight="1">
      <c r="B39" s="7"/>
      <c r="C39" s="3"/>
    </row>
    <row r="40" spans="2:39" ht="15" customHeight="1">
      <c r="B40" s="7"/>
      <c r="C40" s="3" t="s">
        <v>521</v>
      </c>
    </row>
    <row r="41" spans="2:39" ht="18" customHeight="1">
      <c r="C41" s="3" t="s">
        <v>523</v>
      </c>
    </row>
    <row r="42" spans="2:39" ht="18" customHeight="1">
      <c r="C42" s="3"/>
    </row>
    <row r="43" spans="2:39" ht="15" customHeight="1">
      <c r="B43" s="22" t="s">
        <v>532</v>
      </c>
      <c r="C43" s="59" t="s">
        <v>557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567</v>
      </c>
      <c r="D45" s="44" t="s">
        <v>643</v>
      </c>
    </row>
    <row r="46" spans="2:39" ht="18" customHeight="1">
      <c r="C46" s="22" t="s">
        <v>568</v>
      </c>
      <c r="D46" s="44"/>
    </row>
    <row r="47" spans="2:39" ht="18" customHeight="1">
      <c r="C47" s="22" t="s">
        <v>569</v>
      </c>
      <c r="D47" s="44"/>
    </row>
    <row r="48" spans="2:39" ht="18" customHeight="1">
      <c r="C48" s="22" t="s">
        <v>570</v>
      </c>
      <c r="D48" s="44"/>
    </row>
    <row r="49" spans="3:4" ht="18" customHeight="1">
      <c r="C49" s="22" t="s">
        <v>571</v>
      </c>
      <c r="D49" s="44"/>
    </row>
    <row r="50" spans="3:4" ht="18" customHeight="1">
      <c r="C50" s="22" t="s">
        <v>572</v>
      </c>
      <c r="D50" s="44"/>
    </row>
    <row r="51" spans="3:4" ht="18" customHeight="1">
      <c r="C51" s="22" t="s">
        <v>573</v>
      </c>
      <c r="D51" s="44"/>
    </row>
    <row r="52" spans="3:4" ht="18" customHeight="1">
      <c r="C52" s="22" t="s">
        <v>574</v>
      </c>
      <c r="D52" s="44"/>
    </row>
    <row r="53" spans="3:4" ht="18" customHeight="1">
      <c r="C53" s="22" t="s">
        <v>575</v>
      </c>
      <c r="D53" s="44"/>
    </row>
    <row r="54" spans="3:4" ht="18" customHeight="1">
      <c r="C54" s="22" t="s">
        <v>576</v>
      </c>
      <c r="D54" s="44"/>
    </row>
    <row r="55" spans="3:4" ht="18" customHeight="1">
      <c r="C55" s="22" t="s">
        <v>577</v>
      </c>
      <c r="D55" s="44"/>
    </row>
    <row r="56" spans="3:4" ht="18" customHeight="1">
      <c r="C56" s="22" t="s">
        <v>578</v>
      </c>
      <c r="D56" s="44"/>
    </row>
    <row r="57" spans="3:4" ht="18" customHeight="1">
      <c r="C57" s="22" t="s">
        <v>579</v>
      </c>
      <c r="D57" s="44"/>
    </row>
    <row r="58" spans="3:4" ht="18" customHeight="1">
      <c r="C58" s="22" t="s">
        <v>580</v>
      </c>
      <c r="D58" s="44"/>
    </row>
    <row r="59" spans="3:4" ht="18" customHeight="1">
      <c r="C59" s="22" t="s">
        <v>581</v>
      </c>
      <c r="D59" s="44"/>
    </row>
  </sheetData>
  <conditionalFormatting sqref="D13">
    <cfRule type="expression" dxfId="55" priority="20">
      <formula>IF(#REF!="Gaspool",1,0)</formula>
    </cfRule>
  </conditionalFormatting>
  <conditionalFormatting sqref="D45:D59">
    <cfRule type="expression" dxfId="54" priority="16">
      <formula>IF(CELL("Zeile",D45)&lt;$D$43+CELL("Zeile",$D$45),1,0)</formula>
    </cfRule>
  </conditionalFormatting>
  <conditionalFormatting sqref="D46:D59">
    <cfRule type="expression" dxfId="53" priority="15">
      <formula>IF(CELL(D46)&lt;$D$33+27,1,0)</formula>
    </cfRule>
  </conditionalFormatting>
  <conditionalFormatting sqref="D20">
    <cfRule type="expression" dxfId="52" priority="14">
      <formula>IF($D$19=$H$19,1,0)</formula>
    </cfRule>
  </conditionalFormatting>
  <conditionalFormatting sqref="D28">
    <cfRule type="expression" dxfId="51" priority="3">
      <formula>IF($D$15="synthetisch",1,0)</formula>
    </cfRule>
  </conditionalFormatting>
  <conditionalFormatting sqref="D25">
    <cfRule type="expression" dxfId="50" priority="1">
      <formula>IF(AND($D$24=$I$24,$D$23=$H$23),1,0)</formula>
    </cfRule>
  </conditionalFormatting>
  <conditionalFormatting sqref="D23:D25">
    <cfRule type="expression" dxfId="49" priority="4">
      <formula>IF($D$15="analytisch",1,0)</formula>
    </cfRule>
  </conditionalFormatting>
  <conditionalFormatting sqref="D24">
    <cfRule type="expression" dxfId="48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abSelected="1" zoomScale="85" zoomScaleNormal="85" workbookViewId="0">
      <selection activeCell="H11" sqref="H1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525</v>
      </c>
    </row>
    <row r="3" spans="1:56" ht="15" customHeight="1">
      <c r="B3" s="171"/>
    </row>
    <row r="4" spans="1:56">
      <c r="B4" s="130"/>
      <c r="C4" s="55" t="s">
        <v>424</v>
      </c>
      <c r="D4" s="56"/>
      <c r="E4" s="57" t="s">
        <v>638</v>
      </c>
      <c r="F4" s="130"/>
      <c r="M4" s="130"/>
      <c r="N4" s="130"/>
      <c r="O4" s="130"/>
    </row>
    <row r="5" spans="1:56">
      <c r="B5" s="130"/>
      <c r="C5" s="55" t="s">
        <v>423</v>
      </c>
      <c r="D5" s="56"/>
      <c r="E5" s="57" t="str">
        <f>Netzbetreiber!D28</f>
        <v>Schneeberg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467</v>
      </c>
      <c r="D6" s="56"/>
      <c r="E6" s="353" t="s">
        <v>642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477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503</v>
      </c>
      <c r="D9" s="130"/>
      <c r="E9" s="130"/>
      <c r="F9" s="154">
        <f>'SLP-Verfahren'!D43</f>
        <v>1</v>
      </c>
      <c r="H9" s="172" t="s">
        <v>582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566</v>
      </c>
      <c r="D10" s="130"/>
      <c r="E10" s="130"/>
      <c r="F10" s="299">
        <v>1</v>
      </c>
      <c r="G10" s="56"/>
      <c r="H10" s="172" t="s">
        <v>583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584</v>
      </c>
      <c r="D11" s="130"/>
      <c r="E11" s="130"/>
      <c r="F11" s="296" t="str">
        <f>INDEX('SLP-Verfahren'!D45:D59,'SLP-Temp-Gebiet #01'!F10)</f>
        <v>DWD-Awst. Aue (O863)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565</v>
      </c>
      <c r="D13" s="354"/>
      <c r="E13" s="354"/>
      <c r="F13" s="183" t="s">
        <v>529</v>
      </c>
      <c r="G13" s="130" t="s">
        <v>527</v>
      </c>
      <c r="H13" s="265" t="s">
        <v>544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427</v>
      </c>
      <c r="D14" s="355"/>
      <c r="E14" s="89" t="s">
        <v>428</v>
      </c>
      <c r="F14" s="266" t="s">
        <v>86</v>
      </c>
      <c r="G14" s="267" t="s">
        <v>553</v>
      </c>
      <c r="H14" s="50">
        <v>0</v>
      </c>
      <c r="I14" s="56"/>
      <c r="J14" s="130"/>
      <c r="K14" s="130"/>
      <c r="L14" s="130"/>
      <c r="M14" s="130"/>
      <c r="N14" s="130"/>
      <c r="O14" s="173" t="s">
        <v>508</v>
      </c>
      <c r="R14" s="209" t="s">
        <v>545</v>
      </c>
      <c r="S14" s="209" t="s">
        <v>546</v>
      </c>
      <c r="T14" s="209" t="s">
        <v>547</v>
      </c>
      <c r="U14" s="209" t="s">
        <v>548</v>
      </c>
      <c r="V14" s="209" t="s">
        <v>528</v>
      </c>
      <c r="W14" s="209" t="s">
        <v>549</v>
      </c>
      <c r="X14" s="209" t="s">
        <v>550</v>
      </c>
      <c r="Y14" s="209" t="s">
        <v>551</v>
      </c>
      <c r="Z14" s="209" t="s">
        <v>552</v>
      </c>
      <c r="AA14" s="209" t="s">
        <v>553</v>
      </c>
      <c r="AB14" s="209" t="s">
        <v>554</v>
      </c>
      <c r="AC14" s="209" t="s">
        <v>555</v>
      </c>
    </row>
    <row r="15" spans="1:56" ht="19.5" customHeight="1">
      <c r="B15" s="130"/>
      <c r="C15" s="355" t="s">
        <v>386</v>
      </c>
      <c r="D15" s="355"/>
      <c r="E15" s="89" t="s">
        <v>428</v>
      </c>
      <c r="F15" s="266" t="s">
        <v>72</v>
      </c>
      <c r="G15" s="267" t="s">
        <v>547</v>
      </c>
      <c r="H15" s="50">
        <v>0</v>
      </c>
      <c r="I15" s="56"/>
      <c r="J15" s="130"/>
      <c r="K15" s="130"/>
      <c r="L15" s="130"/>
      <c r="M15" s="130"/>
      <c r="N15" s="130"/>
      <c r="O15" s="161" t="s">
        <v>509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473</v>
      </c>
      <c r="AI15" s="264" t="s">
        <v>530</v>
      </c>
      <c r="AJ15" s="264" t="s">
        <v>531</v>
      </c>
      <c r="AK15" s="264" t="s">
        <v>532</v>
      </c>
      <c r="AL15" s="264" t="s">
        <v>533</v>
      </c>
      <c r="AM15" s="264" t="s">
        <v>534</v>
      </c>
      <c r="AN15" s="264" t="s">
        <v>535</v>
      </c>
      <c r="AO15" s="264" t="s">
        <v>536</v>
      </c>
      <c r="AP15" s="264" t="s">
        <v>537</v>
      </c>
      <c r="AQ15" s="264" t="s">
        <v>538</v>
      </c>
      <c r="AR15" s="264" t="s">
        <v>539</v>
      </c>
      <c r="AS15" s="264" t="s">
        <v>540</v>
      </c>
      <c r="AT15" s="264" t="s">
        <v>541</v>
      </c>
      <c r="AU15" s="264" t="s">
        <v>542</v>
      </c>
      <c r="AV15" s="264" t="s">
        <v>543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498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504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499</v>
      </c>
      <c r="D20" s="180" t="s">
        <v>495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506</v>
      </c>
      <c r="D21" s="153" t="s">
        <v>497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518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484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501</v>
      </c>
      <c r="D24" s="188"/>
      <c r="E24" s="156" t="s">
        <v>645</v>
      </c>
      <c r="F24" s="156" t="s">
        <v>563</v>
      </c>
      <c r="G24" s="156"/>
      <c r="H24" s="156"/>
      <c r="I24" s="156"/>
      <c r="J24" s="156"/>
      <c r="K24" s="156"/>
      <c r="L24" s="156"/>
      <c r="M24" s="156"/>
      <c r="N24" s="156"/>
      <c r="O24" s="185" t="s">
        <v>502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496</v>
      </c>
      <c r="D25" s="188"/>
      <c r="E25" s="160" t="s">
        <v>646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485</v>
      </c>
      <c r="F26" s="156" t="s">
        <v>485</v>
      </c>
      <c r="G26" s="156" t="s">
        <v>485</v>
      </c>
      <c r="H26" s="156" t="s">
        <v>485</v>
      </c>
      <c r="I26" s="156" t="s">
        <v>485</v>
      </c>
      <c r="J26" s="156" t="s">
        <v>485</v>
      </c>
      <c r="K26" s="156" t="s">
        <v>485</v>
      </c>
      <c r="L26" s="156" t="s">
        <v>485</v>
      </c>
      <c r="M26" s="156" t="s">
        <v>485</v>
      </c>
      <c r="N26" s="156" t="s">
        <v>485</v>
      </c>
      <c r="O26" s="185" t="s">
        <v>143</v>
      </c>
      <c r="Q26" s="211"/>
      <c r="R26" s="209" t="s">
        <v>485</v>
      </c>
      <c r="S26" s="209" t="s">
        <v>636</v>
      </c>
      <c r="T26" s="209" t="s">
        <v>637</v>
      </c>
      <c r="U26" s="209" t="s">
        <v>486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635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144</v>
      </c>
      <c r="P27" s="13"/>
      <c r="Q27" s="211"/>
      <c r="R27" s="209" t="s">
        <v>485</v>
      </c>
      <c r="S27" s="209" t="s">
        <v>486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500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257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507</v>
      </c>
      <c r="D32" s="186" t="s">
        <v>256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514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3"/>
      <c r="C35" s="187" t="s">
        <v>430</v>
      </c>
      <c r="D35" s="153" t="s">
        <v>429</v>
      </c>
      <c r="E35" s="156" t="s">
        <v>493</v>
      </c>
      <c r="F35" s="156" t="s">
        <v>493</v>
      </c>
      <c r="G35" s="156" t="s">
        <v>493</v>
      </c>
      <c r="H35" s="156" t="s">
        <v>493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493</v>
      </c>
      <c r="S35" s="67" t="s">
        <v>494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586</v>
      </c>
      <c r="D36" s="153" t="s">
        <v>587</v>
      </c>
      <c r="E36" s="156" t="s">
        <v>585</v>
      </c>
      <c r="F36" s="156" t="s">
        <v>585</v>
      </c>
      <c r="G36" s="156" t="s">
        <v>585</v>
      </c>
      <c r="H36" s="156" t="s">
        <v>585</v>
      </c>
      <c r="I36" s="156" t="s">
        <v>585</v>
      </c>
      <c r="J36" s="156" t="s">
        <v>585</v>
      </c>
      <c r="K36" s="156" t="s">
        <v>585</v>
      </c>
      <c r="L36" s="156" t="s">
        <v>585</v>
      </c>
      <c r="M36" s="156" t="s">
        <v>585</v>
      </c>
      <c r="N36" s="156" t="s">
        <v>585</v>
      </c>
      <c r="O36" s="185" t="s">
        <v>143</v>
      </c>
      <c r="Q36" s="211"/>
      <c r="R36" s="67" t="s">
        <v>585</v>
      </c>
      <c r="S36" s="67" t="s">
        <v>588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422</v>
      </c>
      <c r="D37" s="119" t="s">
        <v>519</v>
      </c>
      <c r="E37" s="162" t="s">
        <v>431</v>
      </c>
      <c r="F37" s="162" t="s">
        <v>431</v>
      </c>
      <c r="G37" s="162" t="s">
        <v>432</v>
      </c>
      <c r="H37" s="162" t="s">
        <v>432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432</v>
      </c>
      <c r="S37" s="67" t="s">
        <v>431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268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348</v>
      </c>
      <c r="D40" s="198"/>
      <c r="E40" s="198" t="s">
        <v>512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513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505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510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511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516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517</v>
      </c>
      <c r="D47" s="201" t="s">
        <v>515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>
      <c r="B48" s="193"/>
      <c r="C48" s="200" t="s">
        <v>347</v>
      </c>
      <c r="D48" s="201" t="s">
        <v>515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361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560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524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499</v>
      </c>
      <c r="D55" s="180" t="s">
        <v>495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506</v>
      </c>
      <c r="D56" s="153" t="s">
        <v>497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518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501</v>
      </c>
      <c r="D59" s="188"/>
      <c r="E59" s="156" t="str">
        <f>E24</f>
        <v>Aue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502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496</v>
      </c>
      <c r="D60" s="188"/>
      <c r="E60" s="160" t="str">
        <f>E25</f>
        <v>O863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500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257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507</v>
      </c>
      <c r="D66" s="186" t="s">
        <v>256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514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430</v>
      </c>
      <c r="D69" s="153" t="s">
        <v>429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586</v>
      </c>
      <c r="D70" s="153" t="s">
        <v>587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422</v>
      </c>
      <c r="D71" s="119" t="s">
        <v>519</v>
      </c>
      <c r="E71" s="163" t="s">
        <v>432</v>
      </c>
      <c r="F71" s="163" t="s">
        <v>432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6" t="s">
        <v>561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7" priority="28">
      <formula>IF(E$20&lt;=$F$18,1,0)</formula>
    </cfRule>
  </conditionalFormatting>
  <conditionalFormatting sqref="E33:N37">
    <cfRule type="expression" dxfId="46" priority="27">
      <formula>IF(E$31&lt;=$F$29,1,0)</formula>
    </cfRule>
  </conditionalFormatting>
  <conditionalFormatting sqref="E26:N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7:N60">
    <cfRule type="expression" dxfId="43" priority="22">
      <formula>IF(E$55&lt;=$F$53,1,0)</formula>
    </cfRule>
  </conditionalFormatting>
  <conditionalFormatting sqref="E61:N61">
    <cfRule type="expression" dxfId="42" priority="21">
      <formula>IF(E$55&lt;=$F$53,1,0)</formula>
    </cfRule>
  </conditionalFormatting>
  <conditionalFormatting sqref="E67:N69">
    <cfRule type="expression" dxfId="41" priority="15">
      <formula>IF(E$65&lt;=$F$63,1,0)</formula>
    </cfRule>
  </conditionalFormatting>
  <conditionalFormatting sqref="E66:N69 E71:N71">
    <cfRule type="expression" dxfId="40" priority="13">
      <formula>IF(E$65&gt;$F$63,1,0)</formula>
    </cfRule>
  </conditionalFormatting>
  <conditionalFormatting sqref="E57:N61">
    <cfRule type="expression" dxfId="39" priority="12">
      <formula>IF(E$55&gt;$F$53,1,0)</formula>
    </cfRule>
  </conditionalFormatting>
  <conditionalFormatting sqref="E21:N26">
    <cfRule type="expression" dxfId="38" priority="11">
      <formula>IF(E$20&gt;$F$18,1,0)</formula>
    </cfRule>
  </conditionalFormatting>
  <conditionalFormatting sqref="E33:N37">
    <cfRule type="expression" dxfId="37" priority="10">
      <formula>IF(E$31&gt;$F$29,1,0)</formula>
    </cfRule>
  </conditionalFormatting>
  <conditionalFormatting sqref="H11 H8:H9">
    <cfRule type="expression" dxfId="36" priority="9">
      <formula>IF($F$9=1,1,0)</formula>
    </cfRule>
  </conditionalFormatting>
  <conditionalFormatting sqref="E56:N56">
    <cfRule type="expression" dxfId="35" priority="8">
      <formula>IF(E$55&gt;$F$53,1,0)</formula>
    </cfRule>
  </conditionalFormatting>
  <conditionalFormatting sqref="E32:N32">
    <cfRule type="expression" dxfId="34" priority="7">
      <formula>IF(E$31&gt;$F$29,1,0)</formula>
    </cfRule>
  </conditionalFormatting>
  <conditionalFormatting sqref="E71:N71">
    <cfRule type="expression" dxfId="33" priority="6">
      <formula>IF(E$65&lt;=$F$63,1,0)</formula>
    </cfRule>
  </conditionalFormatting>
  <conditionalFormatting sqref="H10">
    <cfRule type="expression" dxfId="32" priority="5">
      <formula>IF($F$9=1,1,0)</formula>
    </cfRule>
  </conditionalFormatting>
  <conditionalFormatting sqref="E70:N70">
    <cfRule type="expression" dxfId="31" priority="2">
      <formula>IF(E$65&lt;=$F$63,1,0)</formula>
    </cfRule>
  </conditionalFormatting>
  <conditionalFormatting sqref="E70:N70">
    <cfRule type="expression" dxfId="30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525</v>
      </c>
    </row>
    <row r="3" spans="1:56" ht="15" customHeight="1">
      <c r="B3" s="171"/>
    </row>
    <row r="4" spans="1:56">
      <c r="B4" s="130"/>
      <c r="C4" s="55" t="s">
        <v>424</v>
      </c>
      <c r="D4" s="56"/>
      <c r="E4" s="57" t="s">
        <v>466</v>
      </c>
      <c r="F4" s="130"/>
      <c r="M4" s="130"/>
      <c r="N4" s="130"/>
      <c r="O4" s="130"/>
    </row>
    <row r="5" spans="1:56">
      <c r="B5" s="130"/>
      <c r="C5" s="55" t="s">
        <v>423</v>
      </c>
      <c r="D5" s="56"/>
      <c r="E5" s="57" t="str">
        <f>Netzbetreiber!D28</f>
        <v>Schneeberg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467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477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503</v>
      </c>
      <c r="D9" s="130"/>
      <c r="E9" s="130"/>
      <c r="F9" s="154">
        <f>'SLP-Verfahren'!D43</f>
        <v>1</v>
      </c>
      <c r="H9" s="172" t="s">
        <v>582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566</v>
      </c>
      <c r="D10" s="130"/>
      <c r="E10" s="130"/>
      <c r="F10" s="299">
        <v>2</v>
      </c>
      <c r="G10" s="56"/>
      <c r="H10" s="172" t="s">
        <v>583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584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565</v>
      </c>
      <c r="D13" s="354"/>
      <c r="E13" s="354"/>
      <c r="F13" s="183" t="s">
        <v>529</v>
      </c>
      <c r="G13" s="130" t="s">
        <v>527</v>
      </c>
      <c r="H13" s="265" t="s">
        <v>544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427</v>
      </c>
      <c r="D14" s="355"/>
      <c r="E14" s="89" t="s">
        <v>428</v>
      </c>
      <c r="F14" s="266" t="s">
        <v>86</v>
      </c>
      <c r="G14" s="267" t="s">
        <v>553</v>
      </c>
      <c r="H14" s="50">
        <v>0</v>
      </c>
      <c r="I14" s="56"/>
      <c r="J14" s="130"/>
      <c r="K14" s="130"/>
      <c r="L14" s="130"/>
      <c r="M14" s="130"/>
      <c r="N14" s="130"/>
      <c r="O14" s="173" t="s">
        <v>508</v>
      </c>
      <c r="R14" s="209" t="s">
        <v>545</v>
      </c>
      <c r="S14" s="209" t="s">
        <v>546</v>
      </c>
      <c r="T14" s="209" t="s">
        <v>547</v>
      </c>
      <c r="U14" s="209" t="s">
        <v>548</v>
      </c>
      <c r="V14" s="209" t="s">
        <v>528</v>
      </c>
      <c r="W14" s="209" t="s">
        <v>549</v>
      </c>
      <c r="X14" s="209" t="s">
        <v>550</v>
      </c>
      <c r="Y14" s="209" t="s">
        <v>551</v>
      </c>
      <c r="Z14" s="209" t="s">
        <v>552</v>
      </c>
      <c r="AA14" s="209" t="s">
        <v>553</v>
      </c>
      <c r="AB14" s="209" t="s">
        <v>554</v>
      </c>
      <c r="AC14" s="209" t="s">
        <v>555</v>
      </c>
    </row>
    <row r="15" spans="1:56" ht="19.5" customHeight="1">
      <c r="B15" s="130"/>
      <c r="C15" s="355" t="s">
        <v>386</v>
      </c>
      <c r="D15" s="355"/>
      <c r="E15" s="89" t="s">
        <v>428</v>
      </c>
      <c r="F15" s="266" t="s">
        <v>72</v>
      </c>
      <c r="G15" s="267" t="s">
        <v>547</v>
      </c>
      <c r="H15" s="50">
        <v>0</v>
      </c>
      <c r="I15" s="56"/>
      <c r="J15" s="130"/>
      <c r="K15" s="130"/>
      <c r="L15" s="130"/>
      <c r="M15" s="130"/>
      <c r="N15" s="130"/>
      <c r="O15" s="161" t="s">
        <v>509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473</v>
      </c>
      <c r="AI15" s="264" t="s">
        <v>530</v>
      </c>
      <c r="AJ15" s="264" t="s">
        <v>531</v>
      </c>
      <c r="AK15" s="264" t="s">
        <v>532</v>
      </c>
      <c r="AL15" s="264" t="s">
        <v>533</v>
      </c>
      <c r="AM15" s="264" t="s">
        <v>534</v>
      </c>
      <c r="AN15" s="264" t="s">
        <v>535</v>
      </c>
      <c r="AO15" s="264" t="s">
        <v>536</v>
      </c>
      <c r="AP15" s="264" t="s">
        <v>537</v>
      </c>
      <c r="AQ15" s="264" t="s">
        <v>538</v>
      </c>
      <c r="AR15" s="264" t="s">
        <v>539</v>
      </c>
      <c r="AS15" s="264" t="s">
        <v>540</v>
      </c>
      <c r="AT15" s="264" t="s">
        <v>541</v>
      </c>
      <c r="AU15" s="264" t="s">
        <v>542</v>
      </c>
      <c r="AV15" s="264" t="s">
        <v>543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498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504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499</v>
      </c>
      <c r="D20" s="180" t="s">
        <v>495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506</v>
      </c>
      <c r="D21" s="153" t="s">
        <v>497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518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484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501</v>
      </c>
      <c r="D24" s="188"/>
      <c r="E24" s="156" t="s">
        <v>562</v>
      </c>
      <c r="F24" s="156" t="s">
        <v>563</v>
      </c>
      <c r="G24" s="156"/>
      <c r="H24" s="156"/>
      <c r="I24" s="156"/>
      <c r="J24" s="156"/>
      <c r="K24" s="156"/>
      <c r="L24" s="156"/>
      <c r="M24" s="156"/>
      <c r="N24" s="156"/>
      <c r="O24" s="185" t="s">
        <v>502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496</v>
      </c>
      <c r="D25" s="188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485</v>
      </c>
      <c r="F26" s="156" t="s">
        <v>485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485</v>
      </c>
      <c r="S26" s="67" t="s">
        <v>486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500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507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514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3"/>
      <c r="C34" s="187" t="s">
        <v>430</v>
      </c>
      <c r="D34" s="153" t="s">
        <v>429</v>
      </c>
      <c r="E34" s="156" t="s">
        <v>493</v>
      </c>
      <c r="F34" s="156" t="s">
        <v>493</v>
      </c>
      <c r="G34" s="156" t="s">
        <v>493</v>
      </c>
      <c r="H34" s="156" t="s">
        <v>493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493</v>
      </c>
      <c r="S34" s="67" t="s">
        <v>494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586</v>
      </c>
      <c r="D35" s="153" t="s">
        <v>587</v>
      </c>
      <c r="E35" s="156" t="s">
        <v>585</v>
      </c>
      <c r="F35" s="156" t="s">
        <v>585</v>
      </c>
      <c r="G35" s="156" t="s">
        <v>585</v>
      </c>
      <c r="H35" s="156" t="s">
        <v>585</v>
      </c>
      <c r="I35" s="156" t="s">
        <v>585</v>
      </c>
      <c r="J35" s="156" t="s">
        <v>585</v>
      </c>
      <c r="K35" s="156" t="s">
        <v>585</v>
      </c>
      <c r="L35" s="156" t="s">
        <v>585</v>
      </c>
      <c r="M35" s="156" t="s">
        <v>585</v>
      </c>
      <c r="N35" s="156" t="s">
        <v>585</v>
      </c>
      <c r="O35" s="185" t="s">
        <v>143</v>
      </c>
      <c r="Q35" s="211"/>
      <c r="R35" s="67" t="s">
        <v>585</v>
      </c>
      <c r="S35" s="67" t="s">
        <v>588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422</v>
      </c>
      <c r="D36" s="119" t="s">
        <v>519</v>
      </c>
      <c r="E36" s="162" t="s">
        <v>431</v>
      </c>
      <c r="F36" s="162" t="s">
        <v>431</v>
      </c>
      <c r="G36" s="162" t="s">
        <v>432</v>
      </c>
      <c r="H36" s="162" t="s">
        <v>432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432</v>
      </c>
      <c r="S36" s="67" t="s">
        <v>431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348</v>
      </c>
      <c r="D39" s="198"/>
      <c r="E39" s="198" t="s">
        <v>512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513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505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510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511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516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517</v>
      </c>
      <c r="D46" s="201" t="s">
        <v>515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361</v>
      </c>
      <c r="K46" s="198"/>
      <c r="L46" s="198"/>
      <c r="M46" s="198"/>
      <c r="N46" s="198"/>
      <c r="O46" s="199"/>
    </row>
    <row r="47" spans="2:28">
      <c r="B47" s="193"/>
      <c r="C47" s="200" t="s">
        <v>347</v>
      </c>
      <c r="D47" s="201" t="s">
        <v>515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560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524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499</v>
      </c>
      <c r="D54" s="180" t="s">
        <v>495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506</v>
      </c>
      <c r="D55" s="153" t="s">
        <v>497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518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501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502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496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500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507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514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430</v>
      </c>
      <c r="D68" s="153" t="s">
        <v>429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586</v>
      </c>
      <c r="D69" s="153" t="s">
        <v>587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422</v>
      </c>
      <c r="D70" s="119" t="s">
        <v>519</v>
      </c>
      <c r="E70" s="163" t="s">
        <v>432</v>
      </c>
      <c r="F70" s="163" t="s">
        <v>432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6" t="s">
        <v>561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445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>Stadtwerke Schneeberg GmbH</v>
      </c>
      <c r="E5" s="130"/>
      <c r="H5" s="88" t="s">
        <v>477</v>
      </c>
      <c r="I5" s="131" t="s">
        <v>480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Schneeberg</v>
      </c>
      <c r="E6" s="130"/>
      <c r="F6" s="130"/>
      <c r="I6" s="131" t="s">
        <v>490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467</v>
      </c>
      <c r="D7" s="53" t="str">
        <f>Netzbetreiber!$D$11</f>
        <v>9870032000000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45108</v>
      </c>
      <c r="E8" s="130"/>
      <c r="F8" s="130"/>
      <c r="H8" s="128" t="s">
        <v>475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474</v>
      </c>
      <c r="D10" s="134" t="s">
        <v>148</v>
      </c>
      <c r="E10" s="277" t="s">
        <v>492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616</v>
      </c>
      <c r="M10" s="150" t="s">
        <v>625</v>
      </c>
      <c r="N10" s="151" t="s">
        <v>626</v>
      </c>
      <c r="O10" s="151" t="s">
        <v>627</v>
      </c>
      <c r="P10" s="152" t="s">
        <v>628</v>
      </c>
      <c r="Q10" s="146" t="s">
        <v>617</v>
      </c>
      <c r="R10" s="136" t="s">
        <v>618</v>
      </c>
      <c r="S10" s="137" t="s">
        <v>619</v>
      </c>
      <c r="T10" s="137" t="s">
        <v>620</v>
      </c>
      <c r="U10" s="137" t="s">
        <v>621</v>
      </c>
      <c r="V10" s="137" t="s">
        <v>622</v>
      </c>
      <c r="W10" s="137" t="s">
        <v>623</v>
      </c>
      <c r="X10" s="138" t="s">
        <v>624</v>
      </c>
      <c r="Y10" s="305" t="s">
        <v>629</v>
      </c>
    </row>
    <row r="11" spans="2:26" ht="15.75" thickBot="1">
      <c r="B11" s="139" t="s">
        <v>476</v>
      </c>
      <c r="C11" s="140" t="s">
        <v>491</v>
      </c>
      <c r="D11" s="304" t="s">
        <v>249</v>
      </c>
      <c r="E11" s="164" t="s">
        <v>4</v>
      </c>
      <c r="F11" s="30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23" si="0">$D$6</f>
        <v>Schneeberg</v>
      </c>
      <c r="D12" s="62" t="s">
        <v>249</v>
      </c>
      <c r="E12" s="166" t="s">
        <v>5</v>
      </c>
      <c r="F12" s="307" t="str">
        <f>VLOOKUP($E12,'BDEW-Standard'!$B$3:$M$94,F$9,0)</f>
        <v>HK3</v>
      </c>
      <c r="H12" s="278">
        <f>ROUND(VLOOKUP($E12,'BDEW-Standard'!$B$3:$M$94,H$9,0),7)</f>
        <v>0.40409319999999999</v>
      </c>
      <c r="I12" s="278">
        <f>ROUND(VLOOKUP($E12,'BDEW-Standard'!$B$3:$M$94,I$9,0),7)</f>
        <v>-24.439296800000001</v>
      </c>
      <c r="J12" s="278">
        <f>ROUND(VLOOKUP($E12,'BDEW-Standard'!$B$3:$M$94,J$9,0),7)</f>
        <v>6.5718174999999999</v>
      </c>
      <c r="K12" s="278">
        <f>ROUND(VLOOKUP($E12,'BDEW-Standard'!$B$3:$M$94,K$9,0),7)</f>
        <v>0.71077100000000004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3" si="1">($H12/(1+($I12/($Q$9-$L12))^$J12)+$K12)+MAX($M12*$Q$9+$N12,$O12*$Q$9+$P12)</f>
        <v>1.0561214000512988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Schneeberg</v>
      </c>
      <c r="D13" s="62" t="s">
        <v>249</v>
      </c>
      <c r="E13" s="166" t="s">
        <v>42</v>
      </c>
      <c r="F13" s="307" t="str">
        <f>VLOOKUP($E13,'BDEW-Standard'!$B$3:$M$158,F$9,0)</f>
        <v>S14</v>
      </c>
      <c r="H13" s="278">
        <f>ROUND(VLOOKUP($E13,'BDEW-Standard'!$B$3:$M$158,H$9,0),7)</f>
        <v>3.1764404000000002</v>
      </c>
      <c r="I13" s="278">
        <f>ROUND(VLOOKUP($E13,'BDEW-Standard'!$B$3:$M$158,I$9,0),7)</f>
        <v>-37.410583199999998</v>
      </c>
      <c r="J13" s="278">
        <f>ROUND(VLOOKUP($E13,'BDEW-Standard'!$B$3:$M$158,J$9,0),7)</f>
        <v>6.1622336000000004</v>
      </c>
      <c r="K13" s="278">
        <f>ROUND(VLOOKUP($E13,'BDEW-Standard'!$B$3:$M$158,K$9,0),7)</f>
        <v>8.9360599999999998E-2</v>
      </c>
      <c r="L13" s="279">
        <f>ROUND(VLOOKUP($E13,'BDEW-Standard'!$B$3:$M$158,L$9,0),1)</f>
        <v>40</v>
      </c>
      <c r="M13" s="278">
        <f>ROUND(VLOOKUP($E13,'BDEW-Standard'!$B$3:$M$158,M$9,0),7)</f>
        <v>0</v>
      </c>
      <c r="N13" s="278">
        <f>ROUND(VLOOKUP($E13,'BDEW-Standard'!$B$3:$M$158,N$9,0),7)</f>
        <v>0</v>
      </c>
      <c r="O13" s="278">
        <f>ROUND(VLOOKUP($E13,'BDEW-Standard'!$B$3:$M$158,O$9,0),7)</f>
        <v>0</v>
      </c>
      <c r="P13" s="278">
        <f>ROUND(VLOOKUP($E13,'BDEW-Standard'!$B$3:$M$158,P$9,0),7)</f>
        <v>0</v>
      </c>
      <c r="Q13" s="280">
        <f>($H13/(1+($I13/($Q$9-$L13))^$J13)+$K13)+MAX($M13*$Q$9+$N13,$O13*$Q$9+$P13)</f>
        <v>0.96716323288062622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3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Schneeberg</v>
      </c>
      <c r="D14" s="62" t="s">
        <v>249</v>
      </c>
      <c r="E14" s="166" t="s">
        <v>50</v>
      </c>
      <c r="F14" s="307" t="str">
        <f>VLOOKUP($E14,'BDEW-Standard'!$B$3:$M$158,F$9,0)</f>
        <v>S24</v>
      </c>
      <c r="H14" s="278">
        <f>ROUND(VLOOKUP($E14,'BDEW-Standard'!$B$3:$M$158,H$9,0),7)</f>
        <v>2.5078170000000002</v>
      </c>
      <c r="I14" s="278">
        <f>ROUND(VLOOKUP($E14,'BDEW-Standard'!$B$3:$M$158,I$9,0),7)</f>
        <v>-35.036736300000001</v>
      </c>
      <c r="J14" s="278">
        <f>ROUND(VLOOKUP($E14,'BDEW-Standard'!$B$3:$M$158,J$9,0),7)</f>
        <v>6.2430158999999996</v>
      </c>
      <c r="K14" s="278">
        <f>ROUND(VLOOKUP($E14,'BDEW-Standard'!$B$3:$M$158,K$9,0),7)</f>
        <v>0.120641</v>
      </c>
      <c r="L14" s="279">
        <f>ROUND(VLOOKUP($E14,'BDEW-Standard'!$B$3:$M$158,L$9,0),1)</f>
        <v>40</v>
      </c>
      <c r="M14" s="278">
        <f>ROUND(VLOOKUP($E14,'BDEW-Standard'!$B$3:$M$158,M$9,0),7)</f>
        <v>0</v>
      </c>
      <c r="N14" s="278">
        <f>ROUND(VLOOKUP($E14,'BDEW-Standard'!$B$3:$M$158,N$9,0),7)</f>
        <v>0</v>
      </c>
      <c r="O14" s="278">
        <f>ROUND(VLOOKUP($E14,'BDEW-Standard'!$B$3:$M$158,O$9,0),7)</f>
        <v>0</v>
      </c>
      <c r="P14" s="278">
        <f>ROUND(VLOOKUP($E14,'BDEW-Standard'!$B$3:$M$158,P$9,0),7)</f>
        <v>0</v>
      </c>
      <c r="Q14" s="280">
        <f>($H14/(1+($I14/($Q$9-$L14))^$J14)+$K14)+MAX($M14*$Q$9+$N14,$O14*$Q$9+$P14)</f>
        <v>1.0288731326442526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Schneeberg</v>
      </c>
      <c r="D15" s="62" t="s">
        <v>249</v>
      </c>
      <c r="E15" s="166" t="s">
        <v>647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Schneeberg</v>
      </c>
      <c r="D16" s="62" t="s">
        <v>249</v>
      </c>
      <c r="E16" s="166" t="s">
        <v>648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Schneeberg</v>
      </c>
      <c r="D17" s="62" t="s">
        <v>249</v>
      </c>
      <c r="E17" s="166" t="s">
        <v>649</v>
      </c>
      <c r="F17" s="307" t="str">
        <f>VLOOKUP($E17,'BDEW-Standard'!$B$3:$M$94,F$9,0)</f>
        <v>KO4</v>
      </c>
      <c r="H17" s="278">
        <f>ROUND(VLOOKUP($E17,'BDEW-Standard'!$B$3:$M$94,H$9,0),7)</f>
        <v>3.4428942999999999</v>
      </c>
      <c r="I17" s="278">
        <f>ROUND(VLOOKUP($E17,'BDEW-Standard'!$B$3:$M$94,I$9,0),7)</f>
        <v>-36.659050399999998</v>
      </c>
      <c r="J17" s="278">
        <f>ROUND(VLOOKUP($E17,'BDEW-Standard'!$B$3:$M$94,J$9,0),7)</f>
        <v>7.6083226000000002</v>
      </c>
      <c r="K17" s="278">
        <f>ROUND(VLOOKUP($E17,'BDEW-Standard'!$B$3:$M$94,K$9,0),7)</f>
        <v>7.4685000000000001E-2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0.97768382110526542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Schneeberg</v>
      </c>
      <c r="D18" s="62" t="s">
        <v>249</v>
      </c>
      <c r="E18" s="166" t="s">
        <v>650</v>
      </c>
      <c r="F18" s="307" t="str">
        <f>VLOOKUP($E18,'BDEW-Standard'!$B$3:$M$94,F$9,0)</f>
        <v>BD4</v>
      </c>
      <c r="H18" s="278">
        <f>ROUND(VLOOKUP($E18,'BDEW-Standard'!$B$3:$M$94,H$9,0),7)</f>
        <v>3.75</v>
      </c>
      <c r="I18" s="278">
        <f>ROUND(VLOOKUP($E18,'BDEW-Standard'!$B$3:$M$94,I$9,0),7)</f>
        <v>-37.5</v>
      </c>
      <c r="J18" s="278">
        <f>ROUND(VLOOKUP($E18,'BDEW-Standard'!$B$3:$M$94,J$9,0),7)</f>
        <v>6.8</v>
      </c>
      <c r="K18" s="278">
        <f>ROUND(VLOOKUP($E18,'BDEW-Standard'!$B$3:$M$94,K$9,0),7)</f>
        <v>6.0911300000000002E-2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1.0126136468627658</v>
      </c>
      <c r="R18" s="281">
        <f>ROUND(VLOOKUP(MID($E18,4,3),'Wochentag F(WT)'!$B$7:$J$22,R$9,0),4)</f>
        <v>1.1052</v>
      </c>
      <c r="S18" s="281">
        <f>ROUND(VLOOKUP(MID($E18,4,3),'Wochentag F(WT)'!$B$7:$J$22,S$9,0),4)</f>
        <v>1.0857000000000001</v>
      </c>
      <c r="T18" s="281">
        <f>ROUND(VLOOKUP(MID($E18,4,3),'Wochentag F(WT)'!$B$7:$J$22,T$9,0),4)</f>
        <v>1.0378000000000001</v>
      </c>
      <c r="U18" s="281">
        <f>ROUND(VLOOKUP(MID($E18,4,3),'Wochentag F(WT)'!$B$7:$J$22,U$9,0),4)</f>
        <v>1.0622</v>
      </c>
      <c r="V18" s="281">
        <f>ROUND(VLOOKUP(MID($E18,4,3),'Wochentag F(WT)'!$B$7:$J$22,V$9,0),4)</f>
        <v>1.0266</v>
      </c>
      <c r="W18" s="281">
        <f>ROUND(VLOOKUP(MID($E18,4,3),'Wochentag F(WT)'!$B$7:$J$22,W$9,0),4)</f>
        <v>0.76290000000000002</v>
      </c>
      <c r="X18" s="282">
        <f t="shared" si="2"/>
        <v>0.91959999999999997</v>
      </c>
      <c r="Y18" s="303"/>
      <c r="Z18" s="212"/>
    </row>
    <row r="19" spans="2:26" s="143" customFormat="1">
      <c r="B19" s="144">
        <v>8</v>
      </c>
      <c r="C19" s="145" t="str">
        <f t="shared" si="0"/>
        <v>Schneeberg</v>
      </c>
      <c r="D19" s="62" t="s">
        <v>249</v>
      </c>
      <c r="E19" s="166" t="s">
        <v>651</v>
      </c>
      <c r="F19" s="307" t="str">
        <f>VLOOKUP($E19,'BDEW-Standard'!$B$3:$M$94,F$9,0)</f>
        <v>GA4</v>
      </c>
      <c r="H19" s="278">
        <f>ROUND(VLOOKUP($E19,'BDEW-Standard'!$B$3:$M$94,H$9,0),7)</f>
        <v>2.8195655999999998</v>
      </c>
      <c r="I19" s="278">
        <f>ROUND(VLOOKUP($E19,'BDEW-Standard'!$B$3:$M$94,I$9,0),7)</f>
        <v>-36</v>
      </c>
      <c r="J19" s="278">
        <f>ROUND(VLOOKUP($E19,'BDEW-Standard'!$B$3:$M$94,J$9,0),7)</f>
        <v>7.7368518000000002</v>
      </c>
      <c r="K19" s="278">
        <f>ROUND(VLOOKUP($E19,'BDEW-Standard'!$B$3:$M$94,K$9,0),7)</f>
        <v>0.157281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0.96576337685759206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Schneeberg</v>
      </c>
      <c r="D20" s="62" t="s">
        <v>249</v>
      </c>
      <c r="E20" s="166" t="s">
        <v>652</v>
      </c>
      <c r="F20" s="307" t="str">
        <f>VLOOKUP($E20,'BDEW-Standard'!$B$3:$M$94,F$9,0)</f>
        <v>BH4</v>
      </c>
      <c r="H20" s="278">
        <f>ROUND(VLOOKUP($E20,'BDEW-Standard'!$B$3:$M$94,H$9,0),7)</f>
        <v>2.4595180999999999</v>
      </c>
      <c r="I20" s="278">
        <f>ROUND(VLOOKUP($E20,'BDEW-Standard'!$B$3:$M$94,I$9,0),7)</f>
        <v>-35.253212400000002</v>
      </c>
      <c r="J20" s="278">
        <f>ROUND(VLOOKUP($E20,'BDEW-Standard'!$B$3:$M$94,J$9,0),7)</f>
        <v>6.0587001000000003</v>
      </c>
      <c r="K20" s="278">
        <f>ROUND(VLOOKUP($E20,'BDEW-Standard'!$B$3:$M$94,K$9,0),7)</f>
        <v>0.16473699999999999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1.043802057143173</v>
      </c>
      <c r="R20" s="281">
        <f>ROUND(VLOOKUP(MID($E20,4,3),'Wochentag F(WT)'!$B$7:$J$22,R$9,0),4)</f>
        <v>0.97670000000000001</v>
      </c>
      <c r="S20" s="281">
        <f>ROUND(VLOOKUP(MID($E20,4,3),'Wochentag F(WT)'!$B$7:$J$22,S$9,0),4)</f>
        <v>1.0388999999999999</v>
      </c>
      <c r="T20" s="281">
        <f>ROUND(VLOOKUP(MID($E20,4,3),'Wochentag F(WT)'!$B$7:$J$22,T$9,0),4)</f>
        <v>1.0027999999999999</v>
      </c>
      <c r="U20" s="281">
        <f>ROUND(VLOOKUP(MID($E20,4,3),'Wochentag F(WT)'!$B$7:$J$22,U$9,0),4)</f>
        <v>1.0162</v>
      </c>
      <c r="V20" s="281">
        <f>ROUND(VLOOKUP(MID($E20,4,3),'Wochentag F(WT)'!$B$7:$J$22,V$9,0),4)</f>
        <v>1.0024</v>
      </c>
      <c r="W20" s="281">
        <f>ROUND(VLOOKUP(MID($E20,4,3),'Wochentag F(WT)'!$B$7:$J$22,W$9,0),4)</f>
        <v>1.0043</v>
      </c>
      <c r="X20" s="282">
        <f t="shared" si="2"/>
        <v>0.95870000000000122</v>
      </c>
      <c r="Y20" s="303"/>
      <c r="Z20" s="212"/>
    </row>
    <row r="21" spans="2:26" s="143" customFormat="1">
      <c r="B21" s="144">
        <v>10</v>
      </c>
      <c r="C21" s="145" t="str">
        <f t="shared" si="0"/>
        <v>Schneeberg</v>
      </c>
      <c r="D21" s="62" t="s">
        <v>249</v>
      </c>
      <c r="E21" s="166" t="s">
        <v>653</v>
      </c>
      <c r="F21" s="307" t="str">
        <f>VLOOKUP($E21,'BDEW-Standard'!$B$3:$M$94,F$9,0)</f>
        <v>BA4</v>
      </c>
      <c r="H21" s="278">
        <f>ROUND(VLOOKUP($E21,'BDEW-Standard'!$B$3:$M$94,H$9,0),7)</f>
        <v>0.93158890000000005</v>
      </c>
      <c r="I21" s="278">
        <f>ROUND(VLOOKUP($E21,'BDEW-Standard'!$B$3:$M$94,I$9,0),7)</f>
        <v>-33.35</v>
      </c>
      <c r="J21" s="278">
        <f>ROUND(VLOOKUP($E21,'BDEW-Standard'!$B$3:$M$94,J$9,0),7)</f>
        <v>5.7212303000000002</v>
      </c>
      <c r="K21" s="278">
        <f>ROUND(VLOOKUP($E21,'BDEW-Standard'!$B$3:$M$94,K$9,0),7)</f>
        <v>0.66564939999999995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1.0766391850538448</v>
      </c>
      <c r="R21" s="281">
        <f>ROUND(VLOOKUP(MID($E21,4,3),'Wochentag F(WT)'!$B$7:$J$22,R$9,0),4)</f>
        <v>1.0848</v>
      </c>
      <c r="S21" s="281">
        <f>ROUND(VLOOKUP(MID($E21,4,3),'Wochentag F(WT)'!$B$7:$J$22,S$9,0),4)</f>
        <v>1.1211</v>
      </c>
      <c r="T21" s="281">
        <f>ROUND(VLOOKUP(MID($E21,4,3),'Wochentag F(WT)'!$B$7:$J$22,T$9,0),4)</f>
        <v>1.0769</v>
      </c>
      <c r="U21" s="281">
        <f>ROUND(VLOOKUP(MID($E21,4,3),'Wochentag F(WT)'!$B$7:$J$22,U$9,0),4)</f>
        <v>1.1353</v>
      </c>
      <c r="V21" s="281">
        <f>ROUND(VLOOKUP(MID($E21,4,3),'Wochentag F(WT)'!$B$7:$J$22,V$9,0),4)</f>
        <v>1.1402000000000001</v>
      </c>
      <c r="W21" s="281">
        <f>ROUND(VLOOKUP(MID($E21,4,3),'Wochentag F(WT)'!$B$7:$J$22,W$9,0),4)</f>
        <v>0.48520000000000002</v>
      </c>
      <c r="X21" s="282">
        <f t="shared" si="2"/>
        <v>0.95650000000000013</v>
      </c>
      <c r="Y21" s="303"/>
      <c r="Z21" s="212"/>
    </row>
    <row r="22" spans="2:26" s="143" customFormat="1">
      <c r="B22" s="144">
        <v>11</v>
      </c>
      <c r="C22" s="145" t="str">
        <f t="shared" si="0"/>
        <v>Schneeberg</v>
      </c>
      <c r="D22" s="62" t="s">
        <v>249</v>
      </c>
      <c r="E22" s="166" t="s">
        <v>654</v>
      </c>
      <c r="F22" s="307" t="str">
        <f>VLOOKUP($E22,'BDEW-Standard'!$B$3:$M$94,F$9,0)</f>
        <v>PD4</v>
      </c>
      <c r="H22" s="278">
        <f>ROUND(VLOOKUP($E22,'BDEW-Standard'!$B$3:$M$94,H$9,0),7)</f>
        <v>3.85</v>
      </c>
      <c r="I22" s="278">
        <f>ROUND(VLOOKUP($E22,'BDEW-Standard'!$B$3:$M$94,I$9,0),7)</f>
        <v>-37</v>
      </c>
      <c r="J22" s="278">
        <f>ROUND(VLOOKUP($E22,'BDEW-Standard'!$B$3:$M$94,J$9,0),7)</f>
        <v>10.2405021</v>
      </c>
      <c r="K22" s="278">
        <f>ROUND(VLOOKUP($E22,'BDEW-Standard'!$B$3:$M$94,K$9,0),7)</f>
        <v>4.6924300000000002E-2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0.75691065279879233</v>
      </c>
      <c r="R22" s="281">
        <f>ROUND(VLOOKUP(MID($E22,4,3),'Wochentag F(WT)'!$B$7:$J$22,R$9,0),4)</f>
        <v>1.0214000000000001</v>
      </c>
      <c r="S22" s="281">
        <f>ROUND(VLOOKUP(MID($E22,4,3),'Wochentag F(WT)'!$B$7:$J$22,S$9,0),4)</f>
        <v>1.0866</v>
      </c>
      <c r="T22" s="281">
        <f>ROUND(VLOOKUP(MID($E22,4,3),'Wochentag F(WT)'!$B$7:$J$22,T$9,0),4)</f>
        <v>1.0720000000000001</v>
      </c>
      <c r="U22" s="281">
        <f>ROUND(VLOOKUP(MID($E22,4,3),'Wochentag F(WT)'!$B$7:$J$22,U$9,0),4)</f>
        <v>1.0557000000000001</v>
      </c>
      <c r="V22" s="281">
        <f>ROUND(VLOOKUP(MID($E22,4,3),'Wochentag F(WT)'!$B$7:$J$22,V$9,0),4)</f>
        <v>1.0117</v>
      </c>
      <c r="W22" s="281">
        <f>ROUND(VLOOKUP(MID($E22,4,3),'Wochentag F(WT)'!$B$7:$J$22,W$9,0),4)</f>
        <v>0.90010000000000001</v>
      </c>
      <c r="X22" s="282">
        <f t="shared" si="2"/>
        <v>0.85249999999999915</v>
      </c>
      <c r="Y22" s="303"/>
      <c r="Z22" s="212"/>
    </row>
    <row r="23" spans="2:26" s="143" customFormat="1">
      <c r="B23" s="144">
        <v>12</v>
      </c>
      <c r="C23" s="145" t="str">
        <f t="shared" si="0"/>
        <v>Schneeberg</v>
      </c>
      <c r="D23" s="62" t="s">
        <v>249</v>
      </c>
      <c r="E23" s="166" t="s">
        <v>655</v>
      </c>
      <c r="F23" s="307" t="str">
        <f>VLOOKUP($E23,'BDEW-Standard'!$B$3:$M$94,F$9,0)</f>
        <v>HD4</v>
      </c>
      <c r="H23" s="278">
        <f>ROUND(VLOOKUP($E23,'BDEW-Standard'!$B$3:$M$94,H$9,0),7)</f>
        <v>3.0084346000000002</v>
      </c>
      <c r="I23" s="278">
        <f>ROUND(VLOOKUP($E23,'BDEW-Standard'!$B$3:$M$94,I$9,0),7)</f>
        <v>-36.607845300000001</v>
      </c>
      <c r="J23" s="278">
        <f>ROUND(VLOOKUP($E23,'BDEW-Standard'!$B$3:$M$94,J$9,0),7)</f>
        <v>7.3211870000000001</v>
      </c>
      <c r="K23" s="278">
        <f>ROUND(VLOOKUP($E23,'BDEW-Standard'!$B$3:$M$94,K$9,0),7)</f>
        <v>0.15496599999999999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0.97302438504000599</v>
      </c>
      <c r="R23" s="281">
        <f>ROUND(VLOOKUP(MID($E23,4,3),'Wochentag F(WT)'!$B$7:$J$22,R$9,0),4)</f>
        <v>1.03</v>
      </c>
      <c r="S23" s="281">
        <f>ROUND(VLOOKUP(MID($E23,4,3),'Wochentag F(WT)'!$B$7:$J$22,S$9,0),4)</f>
        <v>1.03</v>
      </c>
      <c r="T23" s="281">
        <f>ROUND(VLOOKUP(MID($E23,4,3),'Wochentag F(WT)'!$B$7:$J$22,T$9,0),4)</f>
        <v>1.02</v>
      </c>
      <c r="U23" s="281">
        <f>ROUND(VLOOKUP(MID($E23,4,3),'Wochentag F(WT)'!$B$7:$J$22,U$9,0),4)</f>
        <v>1.03</v>
      </c>
      <c r="V23" s="281">
        <f>ROUND(VLOOKUP(MID($E23,4,3),'Wochentag F(WT)'!$B$7:$J$22,V$9,0),4)</f>
        <v>1.01</v>
      </c>
      <c r="W23" s="281">
        <f>ROUND(VLOOKUP(MID($E23,4,3),'Wochentag F(WT)'!$B$7:$J$22,W$9,0),4)</f>
        <v>0.93</v>
      </c>
      <c r="X23" s="282">
        <f t="shared" si="2"/>
        <v>0.95000000000000018</v>
      </c>
      <c r="Y23" s="303"/>
      <c r="Z23" s="212"/>
    </row>
    <row r="24" spans="2:26" s="143" customFormat="1">
      <c r="B24" s="144">
        <v>13</v>
      </c>
      <c r="C24" s="145"/>
      <c r="D24" s="62"/>
      <c r="E24" s="166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/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/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/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/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/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/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/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/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/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/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/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/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/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/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/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/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/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5:F41 Y12:Y41 F12:F24">
    <cfRule type="duplicateValues" dxfId="10" priority="32"/>
  </conditionalFormatting>
  <conditionalFormatting sqref="E12:E24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E11:E23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E24:E26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345</v>
      </c>
      <c r="B1" s="216">
        <v>42173</v>
      </c>
      <c r="D1" s="131" t="s">
        <v>433</v>
      </c>
      <c r="F1" s="217" t="s">
        <v>526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G31" sqref="G3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425</v>
      </c>
    </row>
    <row r="3" spans="2:30" ht="15" customHeight="1">
      <c r="B3" s="84"/>
    </row>
    <row r="4" spans="2:30" ht="15" customHeight="1">
      <c r="B4" s="85" t="s">
        <v>424</v>
      </c>
      <c r="C4" s="63" t="str">
        <f>Netzbetreiber!$D$9</f>
        <v>Stadtwerke Schneeberg GmbH</v>
      </c>
      <c r="D4" s="76"/>
      <c r="G4" s="76"/>
      <c r="I4" s="76"/>
      <c r="J4" s="77"/>
      <c r="M4" s="86" t="s">
        <v>520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423</v>
      </c>
      <c r="C5" s="64" t="str">
        <f>Netzbetreiber!D28</f>
        <v>Schneeberg</v>
      </c>
      <c r="D5" s="37"/>
      <c r="E5" s="76"/>
      <c r="F5" s="76"/>
      <c r="G5" s="76"/>
      <c r="I5" s="76"/>
      <c r="J5" s="76"/>
      <c r="K5" s="76"/>
      <c r="L5" s="76"/>
      <c r="M5" s="88" t="s">
        <v>489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421</v>
      </c>
      <c r="C6" s="63" t="str">
        <f>Netzbetreiber!$D$11</f>
        <v>9870032000000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45108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437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446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419</v>
      </c>
    </row>
    <row r="10" spans="2:30" ht="72" customHeight="1" thickBot="1">
      <c r="B10" s="362" t="s">
        <v>564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6" t="s">
        <v>447</v>
      </c>
      <c r="N10" s="97" t="s">
        <v>448</v>
      </c>
      <c r="O10" s="98" t="s">
        <v>449</v>
      </c>
      <c r="P10" s="99" t="s">
        <v>450</v>
      </c>
      <c r="Q10" s="99" t="s">
        <v>451</v>
      </c>
      <c r="R10" s="99" t="s">
        <v>452</v>
      </c>
      <c r="S10" s="99" t="s">
        <v>453</v>
      </c>
      <c r="T10" s="99" t="s">
        <v>454</v>
      </c>
      <c r="U10" s="99" t="s">
        <v>455</v>
      </c>
      <c r="V10" s="99" t="s">
        <v>456</v>
      </c>
      <c r="W10" s="99" t="s">
        <v>457</v>
      </c>
      <c r="X10" s="99" t="s">
        <v>458</v>
      </c>
      <c r="Y10" s="99" t="s">
        <v>459</v>
      </c>
      <c r="Z10" s="99" t="s">
        <v>460</v>
      </c>
      <c r="AA10" s="99" t="s">
        <v>461</v>
      </c>
      <c r="AB10" s="99" t="s">
        <v>462</v>
      </c>
      <c r="AC10" s="100" t="s">
        <v>463</v>
      </c>
      <c r="AD10" s="101" t="s">
        <v>420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393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392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393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393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632</v>
      </c>
      <c r="C19" s="340"/>
      <c r="D19" s="111"/>
      <c r="E19" s="315">
        <v>1</v>
      </c>
      <c r="F19" s="312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630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393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393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393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631</v>
      </c>
      <c r="C27" s="340"/>
      <c r="D27" s="111"/>
      <c r="E27" s="315">
        <v>1</v>
      </c>
      <c r="F27" s="312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393</v>
      </c>
      <c r="G29" s="312" t="s">
        <v>393</v>
      </c>
      <c r="H29" s="312" t="s">
        <v>393</v>
      </c>
      <c r="I29" s="312" t="s">
        <v>393</v>
      </c>
      <c r="J29" s="312" t="s">
        <v>393</v>
      </c>
      <c r="K29" s="312" t="s">
        <v>393</v>
      </c>
      <c r="L29" s="312" t="s">
        <v>393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1</v>
      </c>
      <c r="F31" s="312" t="s">
        <v>399</v>
      </c>
      <c r="G31" s="80" t="s">
        <v>399</v>
      </c>
      <c r="H31" s="80" t="s">
        <v>393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434</v>
      </c>
      <c r="B1" s="128"/>
      <c r="D1" s="217" t="s">
        <v>526</v>
      </c>
    </row>
    <row r="2" spans="1:16">
      <c r="A2" s="237"/>
      <c r="B2" s="236" t="s">
        <v>435</v>
      </c>
    </row>
    <row r="3" spans="1:16" ht="20.100000000000001" customHeight="1">
      <c r="A3" s="364" t="s">
        <v>250</v>
      </c>
      <c r="B3" s="238" t="s">
        <v>87</v>
      </c>
      <c r="C3" s="239"/>
      <c r="D3" s="366" t="s">
        <v>436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366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366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Richter, Janet</cp:lastModifiedBy>
  <cp:lastPrinted>2015-03-20T22:59:10Z</cp:lastPrinted>
  <dcterms:created xsi:type="dcterms:W3CDTF">2015-01-15T05:25:41Z</dcterms:created>
  <dcterms:modified xsi:type="dcterms:W3CDTF">2023-07-20T11:19:45Z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